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amp64\www\max-secure-fp-website\project_related_data\Service Page Content\"/>
    </mc:Choice>
  </mc:AlternateContent>
  <bookViews>
    <workbookView xWindow="-105" yWindow="-105" windowWidth="23250" windowHeight="12570"/>
  </bookViews>
  <sheets>
    <sheet name="FD vs Debt" sheetId="2" r:id="rId1"/>
  </sheets>
  <calcPr calcId="191029"/>
</workbook>
</file>

<file path=xl/calcChain.xml><?xml version="1.0" encoding="utf-8"?>
<calcChain xmlns="http://schemas.openxmlformats.org/spreadsheetml/2006/main">
  <c r="L21" i="2" l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I25" i="2"/>
  <c r="N21" i="2" l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E35" i="2" l="1"/>
  <c r="E36" i="2" s="1"/>
  <c r="E37" i="2" s="1"/>
  <c r="E38" i="2" s="1"/>
  <c r="E39" i="2" s="1"/>
  <c r="E40" i="2" s="1"/>
  <c r="E41" i="2" s="1"/>
  <c r="E42" i="2" s="1"/>
  <c r="E43" i="2" s="1"/>
  <c r="O26" i="2"/>
  <c r="O28" i="2" s="1"/>
  <c r="O29" i="2" s="1"/>
  <c r="O30" i="2" s="1"/>
  <c r="M21" i="2"/>
  <c r="M22" i="2" l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O31" i="2"/>
  <c r="O32" i="2" s="1"/>
  <c r="O33" i="2" s="1"/>
  <c r="O34" i="2" s="1"/>
  <c r="O35" i="2" s="1"/>
  <c r="I26" i="2" l="1"/>
  <c r="C24" i="2"/>
  <c r="J19" i="2" l="1"/>
  <c r="J20" i="2" l="1"/>
  <c r="J23" i="2"/>
  <c r="J21" i="2"/>
  <c r="F34" i="2"/>
  <c r="G34" i="2" s="1"/>
  <c r="J26" i="2" l="1"/>
  <c r="J25" i="2"/>
  <c r="J22" i="2"/>
  <c r="H34" i="2"/>
  <c r="J34" i="2" l="1"/>
  <c r="I34" i="2"/>
  <c r="F35" i="2" s="1"/>
  <c r="G35" i="2" s="1"/>
  <c r="H35" i="2" l="1"/>
  <c r="J35" i="2" l="1"/>
  <c r="I35" i="2" l="1"/>
  <c r="F36" i="2" s="1"/>
  <c r="G36" i="2" s="1"/>
  <c r="H36" i="2" l="1"/>
  <c r="J36" i="2" l="1"/>
  <c r="I36" i="2"/>
  <c r="F37" i="2" s="1"/>
  <c r="G37" i="2" s="1"/>
  <c r="H37" i="2" l="1"/>
  <c r="J37" i="2" l="1"/>
  <c r="I37" i="2"/>
  <c r="F38" i="2" s="1"/>
  <c r="J24" i="2"/>
  <c r="J27" i="2" l="1"/>
  <c r="J29" i="2" s="1"/>
  <c r="G38" i="2"/>
  <c r="J28" i="2" l="1"/>
  <c r="H38" i="2"/>
  <c r="I38" i="2" s="1"/>
  <c r="F39" i="2" s="1"/>
  <c r="G39" i="2" l="1"/>
  <c r="H39" i="2" s="1"/>
  <c r="J39" i="2" s="1"/>
  <c r="J38" i="2"/>
  <c r="I39" i="2" l="1"/>
  <c r="F40" i="2" s="1"/>
  <c r="G40" i="2" l="1"/>
  <c r="H40" i="2" s="1"/>
  <c r="J40" i="2" s="1"/>
  <c r="I40" i="2" l="1"/>
  <c r="F41" i="2" s="1"/>
  <c r="G41" i="2" s="1"/>
  <c r="H41" i="2" l="1"/>
  <c r="I41" i="2" s="1"/>
  <c r="F42" i="2" s="1"/>
  <c r="J41" i="2" l="1"/>
  <c r="G42" i="2"/>
  <c r="H42" i="2" s="1"/>
  <c r="J42" i="2" s="1"/>
  <c r="I42" i="2" l="1"/>
  <c r="F43" i="2" s="1"/>
  <c r="G43" i="2" s="1"/>
  <c r="C25" i="2" s="1"/>
  <c r="H43" i="2" l="1"/>
  <c r="I43" i="2" l="1"/>
  <c r="J43" i="2"/>
  <c r="C27" i="2" l="1"/>
  <c r="C28" i="2" s="1"/>
  <c r="C29" i="2" l="1"/>
  <c r="G30" i="2" s="1"/>
  <c r="G29" i="2"/>
</calcChain>
</file>

<file path=xl/sharedStrings.xml><?xml version="1.0" encoding="utf-8"?>
<sst xmlns="http://schemas.openxmlformats.org/spreadsheetml/2006/main" count="49" uniqueCount="42">
  <si>
    <t>Fixed Deposits</t>
  </si>
  <si>
    <t>Debt MFs</t>
  </si>
  <si>
    <t>Tax Rate</t>
  </si>
  <si>
    <t>Investment Amount</t>
  </si>
  <si>
    <t>Interest Rate</t>
  </si>
  <si>
    <t>Returns</t>
  </si>
  <si>
    <t>Total Interest Earned</t>
  </si>
  <si>
    <t>Value at End of period</t>
  </si>
  <si>
    <t>Total Taxes Paid</t>
  </si>
  <si>
    <t>Capital Gains over the period</t>
  </si>
  <si>
    <t>Net Interest Earned</t>
  </si>
  <si>
    <t>Capital Gains Taxes paid at the end of the period</t>
  </si>
  <si>
    <t>Effective Returns</t>
  </si>
  <si>
    <t>Net Capital Gains</t>
  </si>
  <si>
    <t>Year</t>
  </si>
  <si>
    <t>TDS deducted @ 10%</t>
  </si>
  <si>
    <t>Balance Tax to be paid</t>
  </si>
  <si>
    <t>Difference of Returns</t>
  </si>
  <si>
    <t>Year No.</t>
  </si>
  <si>
    <t>F.Y.</t>
  </si>
  <si>
    <t>CII Value</t>
  </si>
  <si>
    <t>The CII Value is considered as per the new base year i.e. F.Y. 2001-2002.</t>
  </si>
  <si>
    <t>Assumptions:</t>
  </si>
  <si>
    <t>The default Returns of the Debt MF is equal to the FD Interest Rate. However, the Debt MF returns can be entered independently.</t>
  </si>
  <si>
    <t>Compounding Frequency</t>
  </si>
  <si>
    <t>Closing balance for the Year</t>
  </si>
  <si>
    <t xml:space="preserve"> Interest Earned in the Year</t>
  </si>
  <si>
    <t>Opening Value for the Year</t>
  </si>
  <si>
    <t>Tenure ( years)</t>
  </si>
  <si>
    <t>In the next year, the interest is earned on the amount less TDS deducted.</t>
  </si>
  <si>
    <t>If the interest earned, on a FD, in a year is more than 10,000/-, then a TDS of 10% is deducted.</t>
  </si>
  <si>
    <t>There is no TDS deducted for Debt MF. The capital gains becomes liable in the year of withdrawal and to the extent of withdrawal.</t>
  </si>
  <si>
    <t>The maximum tenure can be 10 years for this tool.</t>
  </si>
  <si>
    <t>2011-12</t>
  </si>
  <si>
    <t>FD cashflow over the maturity period w.r.t. TDS</t>
  </si>
  <si>
    <t>The CII Value from F.Y. 2017-18 is growing by 4% p.a.</t>
  </si>
  <si>
    <t>Starting F.Y.</t>
  </si>
  <si>
    <t>Fixed Deposit vs. Debt MFs</t>
  </si>
  <si>
    <t>Kindly enter / edit the figures only in this coloured cell</t>
  </si>
  <si>
    <t>The interest payout is cumulative.</t>
  </si>
  <si>
    <t>2012-13</t>
  </si>
  <si>
    <t>© Network FP Knowledge Solutions Pvt. Ltd. Only Network FP ProMembers are licensed to use this calculator.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</si>
</sst>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&quot;₹&quot;\ * #,##0_ ;_ &quot;₹&quot;\ * \-#,##0_ ;_ &quot;₹&quot;\ * &quot;-&quot;_ ;_ @_ "/>
    <numFmt numFmtId="165" formatCode="_ * #,##0_ ;_ * \-#,##0_ ;_ * &quot;-&quot;_ ;_ @_ 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C8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4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FF0000"/>
      </right>
      <top style="medium">
        <color indexed="64"/>
      </top>
      <bottom style="hair">
        <color rgb="FFFF0000"/>
      </bottom>
      <diagonal/>
    </border>
    <border>
      <left style="hair">
        <color rgb="FFFF0000"/>
      </left>
      <right style="medium">
        <color indexed="64"/>
      </right>
      <top style="medium">
        <color indexed="64"/>
      </top>
      <bottom style="hair">
        <color rgb="FFFF0000"/>
      </bottom>
      <diagonal/>
    </border>
    <border>
      <left style="medium">
        <color indexed="64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indexed="64"/>
      </right>
      <top style="hair">
        <color rgb="FFFF0000"/>
      </top>
      <bottom style="hair">
        <color rgb="FFFF0000"/>
      </bottom>
      <diagonal/>
    </border>
    <border>
      <left style="medium">
        <color indexed="64"/>
      </left>
      <right style="hair">
        <color rgb="FFFF0000"/>
      </right>
      <top style="hair">
        <color rgb="FFFF0000"/>
      </top>
      <bottom style="medium">
        <color indexed="64"/>
      </bottom>
      <diagonal/>
    </border>
    <border>
      <left style="hair">
        <color rgb="FFFF0000"/>
      </left>
      <right style="medium">
        <color indexed="64"/>
      </right>
      <top style="hair">
        <color rgb="FFFF0000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1" fillId="0" borderId="17" xfId="0" applyFont="1" applyBorder="1" applyAlignment="1" applyProtection="1">
      <alignment vertical="center"/>
      <protection locked="0"/>
    </xf>
    <xf numFmtId="164" fontId="1" fillId="4" borderId="18" xfId="0" applyNumberFormat="1" applyFont="1" applyFill="1" applyBorder="1" applyAlignment="1" applyProtection="1">
      <alignment vertical="center"/>
      <protection locked="0"/>
    </xf>
    <xf numFmtId="164" fontId="1" fillId="0" borderId="18" xfId="0" applyNumberFormat="1" applyFont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4" borderId="20" xfId="0" applyFont="1" applyFill="1" applyBorder="1" applyAlignment="1" applyProtection="1">
      <alignment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10" fontId="1" fillId="4" borderId="20" xfId="0" applyNumberFormat="1" applyFont="1" applyFill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164" fontId="1" fillId="0" borderId="20" xfId="0" applyNumberFormat="1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9" fontId="1" fillId="0" borderId="20" xfId="0" applyNumberFormat="1" applyFont="1" applyBorder="1" applyAlignment="1" applyProtection="1">
      <alignment vertical="center"/>
      <protection locked="0"/>
    </xf>
    <xf numFmtId="10" fontId="1" fillId="0" borderId="20" xfId="0" applyNumberFormat="1" applyFont="1" applyFill="1" applyBorder="1" applyAlignment="1" applyProtection="1">
      <alignment vertical="center"/>
      <protection locked="0"/>
    </xf>
    <xf numFmtId="9" fontId="1" fillId="4" borderId="20" xfId="0" applyNumberFormat="1" applyFont="1" applyFill="1" applyBorder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vertical="center"/>
      <protection locked="0"/>
    </xf>
    <xf numFmtId="43" fontId="1" fillId="0" borderId="0" xfId="0" applyNumberFormat="1" applyFont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center"/>
      <protection locked="0"/>
    </xf>
    <xf numFmtId="10" fontId="1" fillId="0" borderId="22" xfId="0" applyNumberFormat="1" applyFont="1" applyBorder="1" applyAlignment="1" applyProtection="1">
      <alignment vertical="center"/>
      <protection locked="0"/>
    </xf>
    <xf numFmtId="164" fontId="2" fillId="3" borderId="2" xfId="0" applyNumberFormat="1" applyFont="1" applyFill="1" applyBorder="1" applyAlignment="1" applyProtection="1">
      <alignment vertical="center"/>
      <protection locked="0"/>
    </xf>
    <xf numFmtId="164" fontId="2" fillId="0" borderId="0" xfId="0" applyNumberFormat="1" applyFont="1" applyFill="1" applyBorder="1" applyAlignment="1" applyProtection="1">
      <alignment vertical="center"/>
      <protection locked="0"/>
    </xf>
    <xf numFmtId="10" fontId="2" fillId="3" borderId="2" xfId="0" applyNumberFormat="1" applyFont="1" applyFill="1" applyBorder="1" applyAlignment="1" applyProtection="1">
      <alignment vertical="center"/>
      <protection locked="0"/>
    </xf>
    <xf numFmtId="10" fontId="2" fillId="0" borderId="0" xfId="0" applyNumberFormat="1" applyFont="1" applyFill="1" applyBorder="1" applyAlignment="1" applyProtection="1">
      <alignment vertical="center"/>
      <protection locked="0"/>
    </xf>
    <xf numFmtId="10" fontId="1" fillId="0" borderId="0" xfId="0" applyNumberFormat="1" applyFont="1" applyAlignment="1" applyProtection="1">
      <alignment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165" fontId="1" fillId="0" borderId="9" xfId="0" applyNumberFormat="1" applyFont="1" applyBorder="1" applyAlignment="1" applyProtection="1">
      <alignment vertical="center" wrapText="1"/>
      <protection locked="0"/>
    </xf>
    <xf numFmtId="165" fontId="1" fillId="0" borderId="10" xfId="0" applyNumberFormat="1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165" fontId="1" fillId="0" borderId="12" xfId="0" applyNumberFormat="1" applyFont="1" applyBorder="1" applyAlignment="1" applyProtection="1">
      <alignment vertical="center" wrapText="1"/>
      <protection locked="0"/>
    </xf>
    <xf numFmtId="165" fontId="1" fillId="0" borderId="13" xfId="0" applyNumberFormat="1" applyFont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10" fontId="1" fillId="0" borderId="0" xfId="0" applyNumberFormat="1" applyFont="1" applyFill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165" fontId="1" fillId="0" borderId="15" xfId="0" applyNumberFormat="1" applyFont="1" applyBorder="1" applyAlignment="1" applyProtection="1">
      <alignment vertical="center" wrapText="1"/>
      <protection locked="0"/>
    </xf>
    <xf numFmtId="165" fontId="1" fillId="0" borderId="16" xfId="0" applyNumberFormat="1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/>
    <xf numFmtId="0" fontId="9" fillId="0" borderId="0" xfId="0" applyFont="1" applyProtection="1"/>
    <xf numFmtId="0" fontId="7" fillId="0" borderId="0" xfId="0" applyFont="1" applyBorder="1" applyAlignment="1" applyProtection="1">
      <alignment horizontal="center" vertical="center"/>
      <protection locked="0"/>
    </xf>
    <xf numFmtId="0" fontId="6" fillId="5" borderId="0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400"/>
      <color rgb="FFC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155518</xdr:colOff>
      <xdr:row>2</xdr:row>
      <xdr:rowOff>119062</xdr:rowOff>
    </xdr:from>
    <xdr:to>
      <xdr:col>14</xdr:col>
      <xdr:colOff>341252</xdr:colOff>
      <xdr:row>4</xdr:row>
      <xdr:rowOff>85724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0549" y="619125"/>
          <a:ext cx="1400172" cy="46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6"/>
  <sheetViews>
    <sheetView showGridLines="0" tabSelected="1" zoomScale="80" zoomScaleNormal="80" workbookViewId="0">
      <selection activeCell="P8" sqref="P8"/>
    </sheetView>
  </sheetViews>
  <sheetFormatPr defaultColWidth="9.140625" defaultRowHeight="20.100000000000001" customHeight="1" x14ac:dyDescent="0.25"/>
  <cols>
    <col min="1" max="1" width="9.140625" style="1"/>
    <col min="2" max="2" width="20.5703125" style="1" customWidth="1"/>
    <col min="3" max="3" width="11.5703125" style="1" bestFit="1" customWidth="1"/>
    <col min="4" max="4" width="5.7109375" style="1" customWidth="1"/>
    <col min="5" max="5" width="9.7109375" style="1" bestFit="1" customWidth="1"/>
    <col min="6" max="6" width="10.5703125" style="1" customWidth="1"/>
    <col min="7" max="7" width="12.140625" style="1" bestFit="1" customWidth="1"/>
    <col min="8" max="8" width="12.140625" style="2" customWidth="1"/>
    <col min="9" max="9" width="25.42578125" style="1" customWidth="1"/>
    <col min="10" max="10" width="11.5703125" style="1" bestFit="1" customWidth="1"/>
    <col min="11" max="17" width="9.140625" style="1"/>
    <col min="18" max="18" width="11.140625" style="1" bestFit="1" customWidth="1"/>
    <col min="19" max="19" width="10" style="1" bestFit="1" customWidth="1"/>
    <col min="20" max="16384" width="9.140625" style="1"/>
  </cols>
  <sheetData>
    <row r="2" spans="1:15" ht="20.100000000000001" customHeight="1" x14ac:dyDescent="0.25">
      <c r="A2" s="60" t="s">
        <v>37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4" spans="1:15" ht="20.100000000000001" customHeight="1" x14ac:dyDescent="0.25">
      <c r="A4" s="3" t="s">
        <v>22</v>
      </c>
    </row>
    <row r="5" spans="1:15" ht="20.100000000000001" customHeight="1" x14ac:dyDescent="0.25">
      <c r="A5" s="4">
        <v>1</v>
      </c>
      <c r="B5" s="5" t="s">
        <v>30</v>
      </c>
      <c r="C5" s="4"/>
      <c r="D5" s="4"/>
      <c r="E5" s="4"/>
      <c r="F5" s="4"/>
      <c r="G5" s="4"/>
      <c r="H5" s="6"/>
      <c r="I5" s="4"/>
    </row>
    <row r="6" spans="1:15" ht="20.100000000000001" customHeight="1" x14ac:dyDescent="0.25">
      <c r="A6" s="4">
        <v>2</v>
      </c>
      <c r="B6" s="5" t="s">
        <v>29</v>
      </c>
      <c r="C6" s="4"/>
      <c r="D6" s="4"/>
      <c r="E6" s="4"/>
      <c r="F6" s="4"/>
      <c r="G6" s="4"/>
      <c r="H6" s="6"/>
      <c r="I6" s="4"/>
    </row>
    <row r="7" spans="1:15" ht="20.100000000000001" customHeight="1" x14ac:dyDescent="0.25">
      <c r="A7" s="4">
        <v>3</v>
      </c>
      <c r="B7" s="5" t="s">
        <v>31</v>
      </c>
      <c r="C7" s="4"/>
      <c r="D7" s="4"/>
      <c r="E7" s="4"/>
      <c r="F7" s="4"/>
      <c r="G7" s="4"/>
      <c r="H7" s="6"/>
      <c r="I7" s="4"/>
    </row>
    <row r="8" spans="1:15" ht="20.100000000000001" customHeight="1" x14ac:dyDescent="0.25">
      <c r="A8" s="4">
        <v>4</v>
      </c>
      <c r="B8" s="5" t="s">
        <v>35</v>
      </c>
      <c r="C8" s="4"/>
      <c r="D8" s="4"/>
      <c r="E8" s="4"/>
      <c r="F8" s="4"/>
      <c r="G8" s="4"/>
      <c r="H8" s="6"/>
      <c r="I8" s="4"/>
    </row>
    <row r="9" spans="1:15" ht="20.100000000000001" customHeight="1" x14ac:dyDescent="0.25">
      <c r="A9" s="4">
        <v>5</v>
      </c>
      <c r="B9" s="5" t="s">
        <v>21</v>
      </c>
      <c r="C9" s="4"/>
      <c r="D9" s="4"/>
      <c r="E9" s="4"/>
      <c r="F9" s="4"/>
      <c r="G9" s="4"/>
      <c r="H9" s="6"/>
      <c r="I9" s="4"/>
    </row>
    <row r="10" spans="1:15" ht="20.100000000000001" customHeight="1" x14ac:dyDescent="0.25">
      <c r="A10" s="4">
        <v>6</v>
      </c>
      <c r="B10" s="5" t="s">
        <v>23</v>
      </c>
      <c r="C10" s="4"/>
      <c r="D10" s="4"/>
      <c r="E10" s="4"/>
      <c r="F10" s="4"/>
      <c r="G10" s="4"/>
      <c r="H10" s="6"/>
      <c r="I10" s="4"/>
    </row>
    <row r="11" spans="1:15" ht="20.100000000000001" customHeight="1" x14ac:dyDescent="0.25">
      <c r="A11" s="4">
        <v>7</v>
      </c>
      <c r="B11" s="5" t="s">
        <v>32</v>
      </c>
      <c r="C11" s="4"/>
      <c r="D11" s="4"/>
      <c r="E11" s="4"/>
      <c r="F11" s="4"/>
      <c r="G11" s="4"/>
      <c r="H11" s="6"/>
      <c r="I11" s="4"/>
    </row>
    <row r="12" spans="1:15" ht="20.100000000000001" customHeight="1" x14ac:dyDescent="0.25">
      <c r="A12" s="4">
        <v>8</v>
      </c>
      <c r="B12" s="5" t="s">
        <v>39</v>
      </c>
      <c r="C12" s="4"/>
      <c r="D12" s="4"/>
      <c r="E12" s="4"/>
      <c r="F12" s="4"/>
      <c r="G12" s="4"/>
      <c r="H12" s="6"/>
      <c r="I12" s="4"/>
    </row>
    <row r="13" spans="1:15" ht="20.100000000000001" customHeight="1" x14ac:dyDescent="0.25">
      <c r="B13" s="7"/>
    </row>
    <row r="15" spans="1:15" ht="20.100000000000001" customHeight="1" x14ac:dyDescent="0.25">
      <c r="B15" s="64" t="s">
        <v>38</v>
      </c>
      <c r="C15" s="64"/>
      <c r="D15" s="64"/>
      <c r="E15" s="64"/>
    </row>
    <row r="17" spans="1:19" ht="20.100000000000001" customHeight="1" x14ac:dyDescent="0.25">
      <c r="A17" s="65" t="s">
        <v>0</v>
      </c>
      <c r="B17" s="65"/>
      <c r="C17" s="65"/>
      <c r="D17" s="65"/>
      <c r="E17" s="65"/>
      <c r="F17" s="65"/>
      <c r="I17" s="65" t="s">
        <v>1</v>
      </c>
      <c r="J17" s="65"/>
      <c r="K17" s="65"/>
      <c r="L17" s="65"/>
      <c r="M17" s="65"/>
      <c r="N17" s="65"/>
      <c r="O17" s="65"/>
    </row>
    <row r="18" spans="1:19" ht="20.100000000000001" customHeight="1" thickBot="1" x14ac:dyDescent="0.3"/>
    <row r="19" spans="1:19" ht="20.100000000000001" customHeight="1" thickBot="1" x14ac:dyDescent="0.3">
      <c r="B19" s="8" t="s">
        <v>3</v>
      </c>
      <c r="C19" s="9">
        <v>1000000</v>
      </c>
      <c r="I19" s="8" t="s">
        <v>3</v>
      </c>
      <c r="J19" s="10">
        <f>+C19</f>
        <v>1000000</v>
      </c>
      <c r="L19" s="11" t="s">
        <v>18</v>
      </c>
      <c r="M19" s="12" t="s">
        <v>19</v>
      </c>
      <c r="N19" s="12" t="s">
        <v>18</v>
      </c>
      <c r="O19" s="13" t="s">
        <v>20</v>
      </c>
    </row>
    <row r="20" spans="1:19" ht="20.100000000000001" customHeight="1" x14ac:dyDescent="0.25">
      <c r="B20" s="14" t="s">
        <v>36</v>
      </c>
      <c r="C20" s="15" t="s">
        <v>40</v>
      </c>
      <c r="I20" s="14" t="s">
        <v>28</v>
      </c>
      <c r="J20" s="16">
        <f>C21</f>
        <v>5</v>
      </c>
      <c r="L20" s="17">
        <v>0</v>
      </c>
      <c r="M20" s="18" t="s">
        <v>33</v>
      </c>
      <c r="N20" s="18">
        <v>0</v>
      </c>
      <c r="O20" s="19">
        <v>185</v>
      </c>
    </row>
    <row r="21" spans="1:19" ht="20.100000000000001" customHeight="1" x14ac:dyDescent="0.25">
      <c r="B21" s="14" t="s">
        <v>28</v>
      </c>
      <c r="C21" s="15">
        <v>5</v>
      </c>
      <c r="I21" s="14" t="s">
        <v>5</v>
      </c>
      <c r="J21" s="20">
        <f>C24</f>
        <v>6.4999999999999947E-2</v>
      </c>
      <c r="L21" s="21">
        <f>+L20+1</f>
        <v>1</v>
      </c>
      <c r="M21" s="22" t="str">
        <f t="shared" ref="M21:M35" si="0">LEFT(M20,4)+1&amp;"-"&amp;RIGHT(M20,2)+1</f>
        <v>2012-13</v>
      </c>
      <c r="N21" s="22">
        <f>+N20+1</f>
        <v>1</v>
      </c>
      <c r="O21" s="23">
        <v>201</v>
      </c>
    </row>
    <row r="22" spans="1:19" ht="20.100000000000001" customHeight="1" x14ac:dyDescent="0.25">
      <c r="B22" s="14" t="s">
        <v>4</v>
      </c>
      <c r="C22" s="20">
        <v>6.5000000000000002E-2</v>
      </c>
      <c r="I22" s="14" t="s">
        <v>7</v>
      </c>
      <c r="J22" s="24">
        <f>ROUND(FV($J$21,$J$20,,-$J$19),0)</f>
        <v>1370087</v>
      </c>
      <c r="L22" s="21">
        <f>+L21+1</f>
        <v>2</v>
      </c>
      <c r="M22" s="22" t="str">
        <f t="shared" si="0"/>
        <v>2013-14</v>
      </c>
      <c r="N22" s="22">
        <f>+N21+1</f>
        <v>2</v>
      </c>
      <c r="O22" s="23">
        <v>222</v>
      </c>
    </row>
    <row r="23" spans="1:19" ht="20.100000000000001" customHeight="1" x14ac:dyDescent="0.25">
      <c r="B23" s="25" t="s">
        <v>24</v>
      </c>
      <c r="C23" s="15">
        <v>1</v>
      </c>
      <c r="I23" s="14" t="s">
        <v>2</v>
      </c>
      <c r="J23" s="26">
        <f>C26</f>
        <v>0.3</v>
      </c>
      <c r="L23" s="21">
        <f>+L22+1</f>
        <v>3</v>
      </c>
      <c r="M23" s="22" t="str">
        <f t="shared" si="0"/>
        <v>2014-15</v>
      </c>
      <c r="N23" s="22">
        <f>+N22+1</f>
        <v>3</v>
      </c>
      <c r="O23" s="23">
        <v>242</v>
      </c>
    </row>
    <row r="24" spans="1:19" ht="20.100000000000001" customHeight="1" x14ac:dyDescent="0.25">
      <c r="B24" s="14" t="s">
        <v>4</v>
      </c>
      <c r="C24" s="27">
        <f>EFFECT(C22,C23)</f>
        <v>6.4999999999999947E-2</v>
      </c>
      <c r="I24" s="14" t="s">
        <v>9</v>
      </c>
      <c r="J24" s="24">
        <f>J22-J19</f>
        <v>370087</v>
      </c>
      <c r="L24" s="21">
        <f t="shared" ref="L24:N31" si="1">+L23+1</f>
        <v>4</v>
      </c>
      <c r="M24" s="22" t="str">
        <f t="shared" si="0"/>
        <v>2015-16</v>
      </c>
      <c r="N24" s="22">
        <f t="shared" si="1"/>
        <v>4</v>
      </c>
      <c r="O24" s="23">
        <v>255</v>
      </c>
    </row>
    <row r="25" spans="1:19" ht="20.100000000000001" customHeight="1" x14ac:dyDescent="0.25">
      <c r="B25" s="14" t="s">
        <v>6</v>
      </c>
      <c r="C25" s="24">
        <f>SUM($G$34:$G$43)</f>
        <v>365314</v>
      </c>
      <c r="I25" s="14" t="str">
        <f>"CII Value for FY "&amp;$C$20&amp;""</f>
        <v>CII Value for FY 2012-13</v>
      </c>
      <c r="J25" s="16">
        <f>IF(J20&lt;=3,0,VLOOKUP($C$20,$M$20:$O$31,3,FALSE))</f>
        <v>201</v>
      </c>
      <c r="L25" s="21">
        <f t="shared" si="1"/>
        <v>5</v>
      </c>
      <c r="M25" s="22" t="str">
        <f t="shared" si="0"/>
        <v>2016-17</v>
      </c>
      <c r="N25" s="22">
        <f t="shared" si="1"/>
        <v>5</v>
      </c>
      <c r="O25" s="23">
        <v>265</v>
      </c>
    </row>
    <row r="26" spans="1:19" ht="20.100000000000001" customHeight="1" x14ac:dyDescent="0.25">
      <c r="B26" s="14" t="s">
        <v>2</v>
      </c>
      <c r="C26" s="28">
        <v>0.3</v>
      </c>
      <c r="I26" s="14" t="str">
        <f>"CII Value for FY "&amp;VLOOKUP(VLOOKUP($C$20,$M$20:$N$31,2,)+$C$21,$L$20:$O$31,2,FALSE)&amp;""</f>
        <v>CII Value for FY 2017-18</v>
      </c>
      <c r="J26" s="16">
        <f>IF(J20&lt;=3,0,VLOOKUP(VLOOKUP($C$20,$M$20:$N$31,2,)+$C$21,$L$20:$O$31,4,FALSE))</f>
        <v>276</v>
      </c>
      <c r="L26" s="21">
        <f t="shared" si="1"/>
        <v>6</v>
      </c>
      <c r="M26" s="22" t="str">
        <f t="shared" si="0"/>
        <v>2017-18</v>
      </c>
      <c r="N26" s="22">
        <f t="shared" si="1"/>
        <v>6</v>
      </c>
      <c r="O26" s="23">
        <f t="shared" ref="O26:O35" si="2">+ROUND(O25*1.04,0)</f>
        <v>276</v>
      </c>
      <c r="R26" s="29"/>
      <c r="S26" s="29"/>
    </row>
    <row r="27" spans="1:19" ht="25.5" x14ac:dyDescent="0.25">
      <c r="B27" s="14" t="s">
        <v>8</v>
      </c>
      <c r="C27" s="24">
        <f>ROUND(SUM($H$34:$H$43,$J$34:$J$43),0)</f>
        <v>109594</v>
      </c>
      <c r="I27" s="25" t="s">
        <v>11</v>
      </c>
      <c r="J27" s="24">
        <f>IF(J20&lt;=3,ROUND(J24*J23,0),ROUND(IF((J22-J19*$J$26/$J$25)&lt;0,0,(J22-J19*$J$26/$J$25)*20%),0))</f>
        <v>0</v>
      </c>
      <c r="L27" s="21">
        <f t="shared" si="1"/>
        <v>7</v>
      </c>
      <c r="M27" s="22" t="str">
        <f t="shared" si="0"/>
        <v>2018-19</v>
      </c>
      <c r="N27" s="22">
        <f t="shared" si="1"/>
        <v>7</v>
      </c>
      <c r="O27" s="23">
        <v>280</v>
      </c>
      <c r="R27" s="30"/>
      <c r="S27" s="30"/>
    </row>
    <row r="28" spans="1:19" ht="20.100000000000001" customHeight="1" thickBot="1" x14ac:dyDescent="0.3">
      <c r="B28" s="14" t="s">
        <v>10</v>
      </c>
      <c r="C28" s="24">
        <f>+$C$25-$C$27</f>
        <v>255720</v>
      </c>
      <c r="I28" s="14" t="s">
        <v>13</v>
      </c>
      <c r="J28" s="24">
        <f>J24-J27</f>
        <v>370087</v>
      </c>
      <c r="L28" s="21">
        <f t="shared" si="1"/>
        <v>8</v>
      </c>
      <c r="M28" s="22" t="str">
        <f t="shared" si="0"/>
        <v>2019-20</v>
      </c>
      <c r="N28" s="22">
        <f t="shared" si="1"/>
        <v>8</v>
      </c>
      <c r="O28" s="23">
        <f t="shared" si="2"/>
        <v>291</v>
      </c>
    </row>
    <row r="29" spans="1:19" ht="20.100000000000001" customHeight="1" thickBot="1" x14ac:dyDescent="0.3">
      <c r="B29" s="31" t="s">
        <v>12</v>
      </c>
      <c r="C29" s="32">
        <f>RATE($C$21,,-$C$19,($C$19+$C$28))</f>
        <v>4.6594775067105909E-2</v>
      </c>
      <c r="E29" s="66" t="s">
        <v>17</v>
      </c>
      <c r="F29" s="67"/>
      <c r="G29" s="33">
        <f>J28-C28</f>
        <v>114367</v>
      </c>
      <c r="H29" s="34"/>
      <c r="I29" s="31" t="s">
        <v>12</v>
      </c>
      <c r="J29" s="32">
        <f>RATE(J20,,-J19,(J22-J27))</f>
        <v>6.5000052326956381E-2</v>
      </c>
      <c r="L29" s="21">
        <f t="shared" si="1"/>
        <v>9</v>
      </c>
      <c r="M29" s="22" t="str">
        <f t="shared" si="0"/>
        <v>2020-21</v>
      </c>
      <c r="N29" s="22">
        <f t="shared" si="1"/>
        <v>9</v>
      </c>
      <c r="O29" s="23">
        <f t="shared" si="2"/>
        <v>303</v>
      </c>
    </row>
    <row r="30" spans="1:19" ht="20.100000000000001" customHeight="1" thickBot="1" x14ac:dyDescent="0.3">
      <c r="E30" s="66" t="s">
        <v>17</v>
      </c>
      <c r="F30" s="67"/>
      <c r="G30" s="35">
        <f>J29-C29</f>
        <v>1.8405277259850472E-2</v>
      </c>
      <c r="H30" s="36"/>
      <c r="J30" s="37"/>
      <c r="L30" s="21">
        <f t="shared" si="1"/>
        <v>10</v>
      </c>
      <c r="M30" s="22" t="str">
        <f t="shared" si="0"/>
        <v>2021-22</v>
      </c>
      <c r="N30" s="22">
        <f t="shared" si="1"/>
        <v>10</v>
      </c>
      <c r="O30" s="23">
        <f t="shared" si="2"/>
        <v>315</v>
      </c>
    </row>
    <row r="31" spans="1:19" ht="20.100000000000001" customHeight="1" thickBot="1" x14ac:dyDescent="0.3">
      <c r="J31" s="37"/>
      <c r="L31" s="38">
        <f t="shared" si="1"/>
        <v>11</v>
      </c>
      <c r="M31" s="39" t="str">
        <f t="shared" si="0"/>
        <v>2022-23</v>
      </c>
      <c r="N31" s="39">
        <f t="shared" si="1"/>
        <v>11</v>
      </c>
      <c r="O31" s="40">
        <f t="shared" si="2"/>
        <v>328</v>
      </c>
    </row>
    <row r="32" spans="1:19" s="2" customFormat="1" ht="20.100000000000001" customHeight="1" thickBot="1" x14ac:dyDescent="0.3">
      <c r="C32" s="1"/>
      <c r="E32" s="61" t="s">
        <v>34</v>
      </c>
      <c r="F32" s="62"/>
      <c r="G32" s="62"/>
      <c r="H32" s="62"/>
      <c r="I32" s="62"/>
      <c r="J32" s="63"/>
      <c r="L32" s="38">
        <f t="shared" ref="L32" si="3">+L31+1</f>
        <v>12</v>
      </c>
      <c r="M32" s="39" t="str">
        <f t="shared" si="0"/>
        <v>2023-24</v>
      </c>
      <c r="N32" s="39">
        <f t="shared" ref="N32" si="4">+N31+1</f>
        <v>12</v>
      </c>
      <c r="O32" s="40">
        <f t="shared" si="2"/>
        <v>341</v>
      </c>
    </row>
    <row r="33" spans="2:22" ht="39" thickBot="1" x14ac:dyDescent="0.3">
      <c r="E33" s="41" t="s">
        <v>14</v>
      </c>
      <c r="F33" s="42" t="s">
        <v>27</v>
      </c>
      <c r="G33" s="42" t="s">
        <v>26</v>
      </c>
      <c r="H33" s="42" t="s">
        <v>15</v>
      </c>
      <c r="I33" s="42" t="s">
        <v>25</v>
      </c>
      <c r="J33" s="43" t="s">
        <v>16</v>
      </c>
      <c r="L33" s="38">
        <f t="shared" ref="L33" si="5">+L32+1</f>
        <v>13</v>
      </c>
      <c r="M33" s="39" t="str">
        <f t="shared" si="0"/>
        <v>2024-25</v>
      </c>
      <c r="N33" s="39">
        <f t="shared" ref="N33" si="6">+N32+1</f>
        <v>13</v>
      </c>
      <c r="O33" s="40">
        <f t="shared" si="2"/>
        <v>355</v>
      </c>
      <c r="Q33" s="44"/>
      <c r="R33" s="44"/>
      <c r="S33" s="45"/>
      <c r="T33" s="2"/>
      <c r="U33" s="2"/>
      <c r="V33" s="2"/>
    </row>
    <row r="34" spans="2:22" ht="20.100000000000001" customHeight="1" thickBot="1" x14ac:dyDescent="0.3">
      <c r="E34" s="46">
        <v>1</v>
      </c>
      <c r="F34" s="47">
        <f>$C$19</f>
        <v>1000000</v>
      </c>
      <c r="G34" s="47">
        <f>ROUND(F34*$C$24,0)</f>
        <v>65000</v>
      </c>
      <c r="H34" s="47">
        <f>ROUND(IF(G34&gt;10000,G34*10%,0),0)</f>
        <v>6500</v>
      </c>
      <c r="I34" s="47">
        <f>+F34+G34-H34</f>
        <v>1058500</v>
      </c>
      <c r="J34" s="48">
        <f>ROUND(G34*$C$26-H34,0)</f>
        <v>13000</v>
      </c>
      <c r="L34" s="38">
        <f t="shared" ref="L34:L35" si="7">+L33+1</f>
        <v>14</v>
      </c>
      <c r="M34" s="39" t="str">
        <f t="shared" si="0"/>
        <v>2025-26</v>
      </c>
      <c r="N34" s="39">
        <f t="shared" ref="N34:N35" si="8">+N33+1</f>
        <v>14</v>
      </c>
      <c r="O34" s="40">
        <f t="shared" si="2"/>
        <v>369</v>
      </c>
      <c r="Q34" s="44"/>
      <c r="R34" s="44"/>
      <c r="S34" s="45"/>
    </row>
    <row r="35" spans="2:22" ht="20.100000000000001" customHeight="1" thickBot="1" x14ac:dyDescent="0.3">
      <c r="E35" s="49">
        <f t="shared" ref="E35:E43" si="9">IF(E34="","",IF(E34+1&gt;$C$21,"",E34+1))</f>
        <v>2</v>
      </c>
      <c r="F35" s="50">
        <f>IF(E35&lt;&gt;"",I34,"")</f>
        <v>1058500</v>
      </c>
      <c r="G35" s="50">
        <f t="shared" ref="G35:G43" si="10">IF(E35="","",ROUND(F35*$C$24,0))</f>
        <v>68802</v>
      </c>
      <c r="H35" s="50">
        <f>IF(E35&lt;&gt;"",ROUND(IF(G35&gt;10000,G35*10%,0),0),"")</f>
        <v>6880</v>
      </c>
      <c r="I35" s="50">
        <f>IF(E35&lt;&gt;"",F35+G35-H35,"")</f>
        <v>1120422</v>
      </c>
      <c r="J35" s="51">
        <f t="shared" ref="J35:J43" si="11">IF(E35&lt;&gt;"",ROUND(G35*$C$26-H35,0),"")</f>
        <v>13761</v>
      </c>
      <c r="L35" s="38">
        <f t="shared" si="7"/>
        <v>15</v>
      </c>
      <c r="M35" s="39" t="str">
        <f t="shared" si="0"/>
        <v>2026-27</v>
      </c>
      <c r="N35" s="39">
        <f t="shared" si="8"/>
        <v>15</v>
      </c>
      <c r="O35" s="40">
        <f t="shared" si="2"/>
        <v>384</v>
      </c>
      <c r="Q35" s="44"/>
      <c r="R35" s="44"/>
      <c r="S35" s="45"/>
    </row>
    <row r="36" spans="2:22" ht="20.100000000000001" customHeight="1" x14ac:dyDescent="0.25">
      <c r="E36" s="49">
        <f t="shared" si="9"/>
        <v>3</v>
      </c>
      <c r="F36" s="50">
        <f>IF(E36&lt;&gt;"",I35,"")</f>
        <v>1120422</v>
      </c>
      <c r="G36" s="50">
        <f t="shared" si="10"/>
        <v>72827</v>
      </c>
      <c r="H36" s="50">
        <f>IF(E36&lt;&gt;"",ROUND(IF(G36&gt;10000,G36*10%,0),0),"")</f>
        <v>7283</v>
      </c>
      <c r="I36" s="50">
        <f>IF(E36&lt;&gt;"",F36+G36-H36,"")</f>
        <v>1185966</v>
      </c>
      <c r="J36" s="51">
        <f t="shared" si="11"/>
        <v>14565</v>
      </c>
      <c r="M36" s="2"/>
      <c r="Q36" s="44"/>
      <c r="R36" s="44"/>
      <c r="S36" s="45"/>
    </row>
    <row r="37" spans="2:22" ht="20.100000000000001" customHeight="1" x14ac:dyDescent="0.25">
      <c r="E37" s="49">
        <f t="shared" si="9"/>
        <v>4</v>
      </c>
      <c r="F37" s="50">
        <f t="shared" ref="F37:F43" si="12">IF(E37&lt;&gt;"",I36,"")</f>
        <v>1185966</v>
      </c>
      <c r="G37" s="50">
        <f t="shared" si="10"/>
        <v>77088</v>
      </c>
      <c r="H37" s="50">
        <f t="shared" ref="H37:H43" si="13">IF(E37&lt;&gt;"",ROUND(IF(G37&gt;10000,G37*10%,0),0),"")</f>
        <v>7709</v>
      </c>
      <c r="I37" s="50">
        <f t="shared" ref="I37:I43" si="14">IF(E37&lt;&gt;"",F37+G37-H37,"")</f>
        <v>1255345</v>
      </c>
      <c r="J37" s="51">
        <f t="shared" si="11"/>
        <v>15417</v>
      </c>
      <c r="M37" s="2"/>
      <c r="Q37" s="44"/>
      <c r="R37" s="44"/>
      <c r="S37" s="45"/>
    </row>
    <row r="38" spans="2:22" ht="20.100000000000001" customHeight="1" x14ac:dyDescent="0.25">
      <c r="E38" s="49">
        <f t="shared" si="9"/>
        <v>5</v>
      </c>
      <c r="F38" s="50">
        <f t="shared" si="12"/>
        <v>1255345</v>
      </c>
      <c r="G38" s="50">
        <f t="shared" si="10"/>
        <v>81597</v>
      </c>
      <c r="H38" s="50">
        <f t="shared" si="13"/>
        <v>8160</v>
      </c>
      <c r="I38" s="50">
        <f t="shared" si="14"/>
        <v>1328782</v>
      </c>
      <c r="J38" s="51">
        <f t="shared" si="11"/>
        <v>16319</v>
      </c>
      <c r="M38" s="2"/>
      <c r="Q38" s="44"/>
      <c r="R38" s="44"/>
      <c r="S38" s="45"/>
    </row>
    <row r="39" spans="2:22" ht="20.100000000000001" customHeight="1" x14ac:dyDescent="0.25">
      <c r="E39" s="49" t="str">
        <f t="shared" si="9"/>
        <v/>
      </c>
      <c r="F39" s="50" t="str">
        <f t="shared" si="12"/>
        <v/>
      </c>
      <c r="G39" s="50" t="str">
        <f t="shared" si="10"/>
        <v/>
      </c>
      <c r="H39" s="50" t="str">
        <f t="shared" si="13"/>
        <v/>
      </c>
      <c r="I39" s="50" t="str">
        <f t="shared" si="14"/>
        <v/>
      </c>
      <c r="J39" s="51" t="str">
        <f t="shared" si="11"/>
        <v/>
      </c>
      <c r="M39" s="2"/>
      <c r="Q39" s="44"/>
      <c r="R39" s="44"/>
      <c r="S39" s="45"/>
    </row>
    <row r="40" spans="2:22" ht="20.100000000000001" customHeight="1" x14ac:dyDescent="0.25">
      <c r="E40" s="49" t="str">
        <f t="shared" si="9"/>
        <v/>
      </c>
      <c r="F40" s="50" t="str">
        <f t="shared" si="12"/>
        <v/>
      </c>
      <c r="G40" s="50" t="str">
        <f t="shared" si="10"/>
        <v/>
      </c>
      <c r="H40" s="50" t="str">
        <f t="shared" si="13"/>
        <v/>
      </c>
      <c r="I40" s="50" t="str">
        <f t="shared" si="14"/>
        <v/>
      </c>
      <c r="J40" s="51" t="str">
        <f t="shared" si="11"/>
        <v/>
      </c>
      <c r="M40" s="2"/>
      <c r="N40" s="52"/>
      <c r="O40" s="53"/>
      <c r="Q40" s="44"/>
      <c r="R40" s="44"/>
      <c r="S40" s="45"/>
    </row>
    <row r="41" spans="2:22" ht="20.100000000000001" customHeight="1" x14ac:dyDescent="0.25">
      <c r="E41" s="49" t="str">
        <f t="shared" si="9"/>
        <v/>
      </c>
      <c r="F41" s="50" t="str">
        <f t="shared" si="12"/>
        <v/>
      </c>
      <c r="G41" s="50" t="str">
        <f t="shared" si="10"/>
        <v/>
      </c>
      <c r="H41" s="50" t="str">
        <f t="shared" si="13"/>
        <v/>
      </c>
      <c r="I41" s="50" t="str">
        <f t="shared" si="14"/>
        <v/>
      </c>
      <c r="J41" s="51" t="str">
        <f t="shared" si="11"/>
        <v/>
      </c>
      <c r="M41" s="2"/>
      <c r="Q41" s="44"/>
      <c r="R41" s="44"/>
      <c r="S41" s="45"/>
    </row>
    <row r="42" spans="2:22" ht="20.100000000000001" customHeight="1" x14ac:dyDescent="0.25">
      <c r="E42" s="49" t="str">
        <f t="shared" si="9"/>
        <v/>
      </c>
      <c r="F42" s="50" t="str">
        <f t="shared" si="12"/>
        <v/>
      </c>
      <c r="G42" s="50" t="str">
        <f t="shared" si="10"/>
        <v/>
      </c>
      <c r="H42" s="50" t="str">
        <f t="shared" si="13"/>
        <v/>
      </c>
      <c r="I42" s="50" t="str">
        <f t="shared" si="14"/>
        <v/>
      </c>
      <c r="J42" s="51" t="str">
        <f t="shared" si="11"/>
        <v/>
      </c>
      <c r="M42" s="2"/>
      <c r="Q42" s="44"/>
      <c r="R42" s="44"/>
      <c r="S42" s="45"/>
    </row>
    <row r="43" spans="2:22" ht="20.100000000000001" customHeight="1" thickBot="1" x14ac:dyDescent="0.3">
      <c r="E43" s="54" t="str">
        <f t="shared" si="9"/>
        <v/>
      </c>
      <c r="F43" s="55" t="str">
        <f t="shared" si="12"/>
        <v/>
      </c>
      <c r="G43" s="55" t="str">
        <f t="shared" si="10"/>
        <v/>
      </c>
      <c r="H43" s="55" t="str">
        <f t="shared" si="13"/>
        <v/>
      </c>
      <c r="I43" s="55" t="str">
        <f t="shared" si="14"/>
        <v/>
      </c>
      <c r="J43" s="56" t="str">
        <f t="shared" si="11"/>
        <v/>
      </c>
      <c r="M43" s="2"/>
    </row>
    <row r="45" spans="2:22" s="58" customFormat="1" ht="15.75" x14ac:dyDescent="0.25">
      <c r="B45" s="57" t="s">
        <v>41</v>
      </c>
      <c r="C45" s="57"/>
      <c r="D45" s="57"/>
    </row>
    <row r="46" spans="2:22" ht="20.100000000000001" customHeight="1" x14ac:dyDescent="0.25"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</row>
  </sheetData>
  <sheetProtection algorithmName="SHA-512" hashValue="t8HDQlWnvbTUt54GFlHVObq5I8kyHurYfNijpYBc8CTXXSFytueKVUmjkFhsROCOC3yZUaDk4ljja43LNplCTw==" saltValue="lyoOq5kShrDq4vJ6FBpNFA==" spinCount="100000" sheet="1" formatCells="0" formatColumns="0" formatRows="0" insertColumns="0" insertRows="0" insertHyperlinks="0" deleteColumns="0" deleteRows="0" selectLockedCells="1" sort="0" autoFilter="0" pivotTables="0"/>
  <mergeCells count="8">
    <mergeCell ref="B46:L46"/>
    <mergeCell ref="A2:O2"/>
    <mergeCell ref="E32:J32"/>
    <mergeCell ref="B15:E15"/>
    <mergeCell ref="A17:F17"/>
    <mergeCell ref="I17:O17"/>
    <mergeCell ref="E30:F30"/>
    <mergeCell ref="E29:F29"/>
  </mergeCells>
  <dataValidations count="4">
    <dataValidation type="list" allowBlank="1" showInputMessage="1" showErrorMessage="1" prompt="Kindly choose the Tax Rate from the dropdown list." sqref="C26">
      <formula1>"5%,20%,30%"</formula1>
    </dataValidation>
    <dataValidation type="list" allowBlank="1" showInputMessage="1" showErrorMessage="1" promptTitle="Compounding Frequencies" prompt="Annually                                 =  1_x000a_Semi-Annually/Half-Yearly =  2_x000a_Quarterly                               =  4_x000a_Monthly                                = 12" sqref="C23">
      <formula1>"1,2,4,12"</formula1>
    </dataValidation>
    <dataValidation type="list" allowBlank="1" showInputMessage="1" showErrorMessage="1" promptTitle="Tenure Range" prompt="_x000a_Insert the period such that it is between FY 2011-12 &amp; FY 2022-23" sqref="C21">
      <formula1>"1,2,3,4,5,6,7,8,9,10"</formula1>
    </dataValidation>
    <dataValidation type="list" allowBlank="1" showInputMessage="1" showErrorMessage="1" sqref="C20">
      <formula1>M$20:M$31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FD vs Debt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Tivesh Shah</dc:creator>
  <cp:lastModifiedBy>admin</cp:lastModifiedBy>
  <dcterms:created xsi:type="dcterms:W3CDTF">2017-03-11T12:50:10Z</dcterms:created>
  <dcterms:modified xsi:type="dcterms:W3CDTF">2020-12-17T04:47:18Z</dcterms:modified>
</cp:coreProperties>
</file>